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DOWS11\Documents\Cognicert\Cognicert\"/>
    </mc:Choice>
  </mc:AlternateContent>
  <xr:revisionPtr revIDLastSave="0" documentId="13_ncr:1_{8A380D56-6DC4-48E3-8CE6-2E836F51045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Instructions" sheetId="1" r:id="rId1"/>
    <sheet name="Assessment" sheetId="2" r:id="rId2"/>
    <sheet name="Dashboard" sheetId="3" r:id="rId3"/>
    <sheet name="Corrective Action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6" i="4" l="1"/>
  <c r="D46" i="4" s="1"/>
  <c r="C45" i="4"/>
  <c r="D45" i="4" s="1"/>
  <c r="C44" i="4"/>
  <c r="D44" i="4" s="1"/>
  <c r="C43" i="4"/>
  <c r="D43" i="4" s="1"/>
  <c r="C42" i="4"/>
  <c r="D42" i="4" s="1"/>
  <c r="C41" i="4"/>
  <c r="D41" i="4" s="1"/>
  <c r="C40" i="4"/>
  <c r="D40" i="4" s="1"/>
  <c r="C39" i="4"/>
  <c r="D39" i="4" s="1"/>
  <c r="C38" i="4"/>
  <c r="D38" i="4" s="1"/>
  <c r="C37" i="4"/>
  <c r="D37" i="4" s="1"/>
  <c r="C36" i="4"/>
  <c r="D36" i="4" s="1"/>
  <c r="C35" i="4"/>
  <c r="D35" i="4" s="1"/>
  <c r="C34" i="4"/>
  <c r="D34" i="4" s="1"/>
  <c r="C33" i="4"/>
  <c r="D33" i="4" s="1"/>
  <c r="C32" i="4"/>
  <c r="D32" i="4" s="1"/>
  <c r="C31" i="4"/>
  <c r="D31" i="4" s="1"/>
  <c r="C30" i="4"/>
  <c r="D30" i="4" s="1"/>
  <c r="C29" i="4"/>
  <c r="D29" i="4" s="1"/>
  <c r="C28" i="4"/>
  <c r="D28" i="4" s="1"/>
  <c r="C27" i="4"/>
  <c r="D27" i="4" s="1"/>
  <c r="C26" i="4"/>
  <c r="D26" i="4" s="1"/>
  <c r="C25" i="4"/>
  <c r="D25" i="4" s="1"/>
  <c r="C24" i="4"/>
  <c r="D24" i="4" s="1"/>
  <c r="C23" i="4"/>
  <c r="D23" i="4" s="1"/>
  <c r="C22" i="4"/>
  <c r="D22" i="4" s="1"/>
  <c r="C21" i="4"/>
  <c r="D21" i="4" s="1"/>
  <c r="C20" i="4"/>
  <c r="D20" i="4" s="1"/>
  <c r="C19" i="4"/>
  <c r="D19" i="4" s="1"/>
  <c r="C18" i="4"/>
  <c r="D18" i="4" s="1"/>
  <c r="C17" i="4"/>
  <c r="D17" i="4" s="1"/>
  <c r="C16" i="4"/>
  <c r="D16" i="4" s="1"/>
  <c r="C15" i="4"/>
  <c r="D15" i="4" s="1"/>
  <c r="C14" i="4"/>
  <c r="D14" i="4" s="1"/>
  <c r="C13" i="4"/>
  <c r="D13" i="4" s="1"/>
  <c r="C12" i="4"/>
  <c r="D12" i="4" s="1"/>
  <c r="C11" i="4"/>
  <c r="D11" i="4" s="1"/>
  <c r="C10" i="4"/>
  <c r="D10" i="4" s="1"/>
  <c r="C9" i="4"/>
  <c r="D9" i="4" s="1"/>
  <c r="C8" i="4"/>
  <c r="D8" i="4" s="1"/>
  <c r="C7" i="4"/>
  <c r="D7" i="4" s="1"/>
  <c r="C6" i="4"/>
  <c r="D6" i="4" s="1"/>
  <c r="C5" i="4"/>
  <c r="D5" i="4" s="1"/>
  <c r="C4" i="4"/>
  <c r="D4" i="4" s="1"/>
  <c r="C3" i="4"/>
  <c r="D3" i="4" s="1"/>
  <c r="C2" i="4"/>
  <c r="D2" i="4" s="1"/>
  <c r="B10" i="3"/>
  <c r="C10" i="3" s="1"/>
  <c r="B9" i="3"/>
  <c r="C9" i="3" s="1"/>
  <c r="B8" i="3"/>
  <c r="C8" i="3" s="1"/>
  <c r="B7" i="3"/>
  <c r="C7" i="3" s="1"/>
  <c r="B6" i="3"/>
  <c r="C6" i="3" s="1"/>
  <c r="B5" i="3"/>
  <c r="C5" i="3" s="1"/>
  <c r="B4" i="3"/>
  <c r="C4" i="3" s="1"/>
  <c r="B3" i="3"/>
  <c r="C3" i="3" s="1"/>
  <c r="B2" i="3"/>
  <c r="C2" i="3" s="1"/>
</calcChain>
</file>

<file path=xl/sharedStrings.xml><?xml version="1.0" encoding="utf-8"?>
<sst xmlns="http://schemas.openxmlformats.org/spreadsheetml/2006/main" count="259" uniqueCount="85">
  <si>
    <t>Cognicert ISO Self‑Assessment Tool</t>
  </si>
  <si>
    <t>How to Use:</t>
  </si>
  <si>
    <t>1. Go to the Assessment sheet.</t>
  </si>
  <si>
    <t>2. Rate each question from 1–5.</t>
  </si>
  <si>
    <t>3. Dashboard auto-calculates compliance scores.</t>
  </si>
  <si>
    <t>4. Corrective Actions auto-generate based on weak areas.</t>
  </si>
  <si>
    <t>Rating Guide:</t>
  </si>
  <si>
    <t>1 = Not Implemented</t>
  </si>
  <si>
    <t>2 = Initiated</t>
  </si>
  <si>
    <t>3 = Partially Implemented</t>
  </si>
  <si>
    <t>4 = Implemented</t>
  </si>
  <si>
    <t>5 = Fully Implemented</t>
  </si>
  <si>
    <t>Standard</t>
  </si>
  <si>
    <t>Question</t>
  </si>
  <si>
    <t>Score (1-5)</t>
  </si>
  <si>
    <t>Evidence</t>
  </si>
  <si>
    <t>Responsible</t>
  </si>
  <si>
    <t>ISO 27001</t>
  </si>
  <si>
    <t>Is information security risk assessment documented?</t>
  </si>
  <si>
    <t>Are access controls defined and reviewed?</t>
  </si>
  <si>
    <t>Is incident response tested regularly?</t>
  </si>
  <si>
    <t>Are assets classified and inventoried?</t>
  </si>
  <si>
    <t>Is ISMS leadership active and effective?</t>
  </si>
  <si>
    <t>ISO 22301</t>
  </si>
  <si>
    <t>Is there a documented business continuity plan?</t>
  </si>
  <si>
    <t>Have critical processes been identified?</t>
  </si>
  <si>
    <t>Are BC plans tested regularly?</t>
  </si>
  <si>
    <t>Are suppliers assessed for continuity risk?</t>
  </si>
  <si>
    <t>Is crisis communication practiced?</t>
  </si>
  <si>
    <t>ISO 14067</t>
  </si>
  <si>
    <t>Are product GHG boundaries defined?</t>
  </si>
  <si>
    <t>Is GHG data gathered with reliable methods?</t>
  </si>
  <si>
    <t>Are emission hotspots identified?</t>
  </si>
  <si>
    <t>Is reduction planning documented?</t>
  </si>
  <si>
    <t>Are carbon claims independently verified?</t>
  </si>
  <si>
    <t>ISO 56001</t>
  </si>
  <si>
    <t>Is there an innovation strategy?</t>
  </si>
  <si>
    <t>Are innovation resources allocated?</t>
  </si>
  <si>
    <t>Is innovation pipeline structured?</t>
  </si>
  <si>
    <t>Are innovation risks assessed?</t>
  </si>
  <si>
    <t>Are innovation results measured?</t>
  </si>
  <si>
    <t>ISO 37000</t>
  </si>
  <si>
    <t>Is purpose clearly defined and communicated?</t>
  </si>
  <si>
    <t>Is governance embedded into strategy?</t>
  </si>
  <si>
    <t>Are accountability roles defined?</t>
  </si>
  <si>
    <t>Are stakeholders engaged effectively?</t>
  </si>
  <si>
    <t>Is governance performance monitored?</t>
  </si>
  <si>
    <t>ISO 37001</t>
  </si>
  <si>
    <t>Is anti‑bribery policy documented?</t>
  </si>
  <si>
    <t>Are bribery risks assessed?</t>
  </si>
  <si>
    <t>Is due diligence applied to partners?</t>
  </si>
  <si>
    <t>Are incident channels secure?</t>
  </si>
  <si>
    <t>Is anti‑bribery training regular?</t>
  </si>
  <si>
    <t>ISO 28000</t>
  </si>
  <si>
    <t>Are supply chain security risks assessed?</t>
  </si>
  <si>
    <t>Is cargo monitored?</t>
  </si>
  <si>
    <t>Are supplier security controls defined?</t>
  </si>
  <si>
    <t>Are emergency procedures documented?</t>
  </si>
  <si>
    <t>Are security incidents reviewed?</t>
  </si>
  <si>
    <t>ISO 27032</t>
  </si>
  <si>
    <t>Is cyber‑threat intelligence gathered?</t>
  </si>
  <si>
    <t>Are online platforms protected?</t>
  </si>
  <si>
    <t>Is cyber‑awareness training provided?</t>
  </si>
  <si>
    <t>Are third‑party cyber risks monitored?</t>
  </si>
  <si>
    <t>Is cyber incident response defined?</t>
  </si>
  <si>
    <t>ISO 21502</t>
  </si>
  <si>
    <t>Are project objectives clearly defined?</t>
  </si>
  <si>
    <t>Are project governance roles documented?</t>
  </si>
  <si>
    <t>Are risks monitored continuously?</t>
  </si>
  <si>
    <t>Is project performance measured?</t>
  </si>
  <si>
    <t>Are lessons learned reused?</t>
  </si>
  <si>
    <t>Average Score</t>
  </si>
  <si>
    <t>Status</t>
  </si>
  <si>
    <t>Score</t>
  </si>
  <si>
    <t>Corrective Action</t>
  </si>
  <si>
    <t>Recommended Cognicert Course</t>
  </si>
  <si>
    <t>Cognicert ISO 27001 Lead Auditor / Lead Implementer</t>
  </si>
  <si>
    <t>Cognicert ISO 22301 Lead Auditor / Lead Implementer</t>
  </si>
  <si>
    <t>Cognicert ISO 14067 Carbon Footprint Lead Verifier</t>
  </si>
  <si>
    <t>Cognicert ISO 56001 Innovation Management Masterclass</t>
  </si>
  <si>
    <t>Cognicert Corporate Governance &amp; Ethical Leadership</t>
  </si>
  <si>
    <t>Cognicert ISO 37001 Anti‑Bribery Lead Implementer</t>
  </si>
  <si>
    <t>Cognicert ISO 28000 Supply Chain Security Course</t>
  </si>
  <si>
    <t>Cognicert Cybersecurity &amp; Digital Trust Program</t>
  </si>
  <si>
    <t>Cognicert Project Management &amp; Governance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</si>
</sst>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584200</xdr:colOff>
      <xdr:row>0</xdr:row>
      <xdr:rowOff>0</xdr:rowOff>
    </xdr:from>
    <xdr:to>
      <xdr:col>5</xdr:col>
      <xdr:colOff>50800</xdr:colOff>
      <xdr:row>9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D8C8B-E81F-7391-FB65-AEDE36FFE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2100" y="0"/>
          <a:ext cx="1905000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workbookViewId="0">
      <selection activeCell="A4" sqref="A4"/>
    </sheetView>
  </sheetViews>
  <sheetFormatPr defaultRowHeight="14.5" x14ac:dyDescent="0.35"/>
  <cols>
    <col min="1" max="1" width="50.36328125" customWidth="1"/>
  </cols>
  <sheetData>
    <row r="1" spans="1:3" ht="15.5" x14ac:dyDescent="0.35">
      <c r="A1" s="2" t="s">
        <v>0</v>
      </c>
      <c r="B1" s="1"/>
      <c r="C1" s="1"/>
    </row>
    <row r="2" spans="1:3" ht="15.5" x14ac:dyDescent="0.35">
      <c r="A2" s="2"/>
      <c r="B2" s="1"/>
      <c r="C2" s="1"/>
    </row>
    <row r="3" spans="1:3" ht="15.5" x14ac:dyDescent="0.35">
      <c r="A3" s="2" t="s">
        <v>1</v>
      </c>
      <c r="B3" s="1"/>
      <c r="C3" s="1"/>
    </row>
    <row r="4" spans="1:3" ht="15.5" x14ac:dyDescent="0.35">
      <c r="A4" s="3" t="s">
        <v>2</v>
      </c>
      <c r="B4" s="1"/>
      <c r="C4" s="1"/>
    </row>
    <row r="5" spans="1:3" ht="15.5" x14ac:dyDescent="0.35">
      <c r="A5" s="3" t="s">
        <v>3</v>
      </c>
      <c r="B5" s="1"/>
      <c r="C5" s="1"/>
    </row>
    <row r="6" spans="1:3" ht="15.5" x14ac:dyDescent="0.35">
      <c r="A6" s="3" t="s">
        <v>4</v>
      </c>
      <c r="B6" s="1"/>
      <c r="C6" s="1"/>
    </row>
    <row r="7" spans="1:3" ht="15.5" x14ac:dyDescent="0.35">
      <c r="A7" s="3" t="s">
        <v>5</v>
      </c>
      <c r="B7" s="1"/>
      <c r="C7" s="1"/>
    </row>
    <row r="8" spans="1:3" ht="15.5" x14ac:dyDescent="0.35">
      <c r="A8" s="2"/>
      <c r="B8" s="1"/>
      <c r="C8" s="1"/>
    </row>
    <row r="9" spans="1:3" ht="15.5" x14ac:dyDescent="0.35">
      <c r="A9" s="2" t="s">
        <v>6</v>
      </c>
      <c r="B9" s="1"/>
      <c r="C9" s="1"/>
    </row>
    <row r="10" spans="1:3" ht="15.5" x14ac:dyDescent="0.35">
      <c r="A10" s="3" t="s">
        <v>7</v>
      </c>
      <c r="B10" s="1"/>
      <c r="C10" s="1"/>
    </row>
    <row r="11" spans="1:3" ht="15.5" x14ac:dyDescent="0.35">
      <c r="A11" s="3" t="s">
        <v>8</v>
      </c>
      <c r="B11" s="1"/>
      <c r="C11" s="1"/>
    </row>
    <row r="12" spans="1:3" ht="15.5" x14ac:dyDescent="0.35">
      <c r="A12" s="3" t="s">
        <v>9</v>
      </c>
      <c r="B12" s="1"/>
      <c r="C12" s="1"/>
    </row>
    <row r="13" spans="1:3" ht="15.5" x14ac:dyDescent="0.35">
      <c r="A13" s="3" t="s">
        <v>10</v>
      </c>
      <c r="B13" s="1"/>
      <c r="C13" s="1"/>
    </row>
    <row r="14" spans="1:3" ht="15.5" x14ac:dyDescent="0.35">
      <c r="A14" s="3" t="s">
        <v>11</v>
      </c>
      <c r="B14" s="1"/>
      <c r="C14" s="1"/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6"/>
  <sheetViews>
    <sheetView tabSelected="1" workbookViewId="0">
      <selection activeCell="D11" sqref="D11"/>
    </sheetView>
  </sheetViews>
  <sheetFormatPr defaultRowHeight="14.5" x14ac:dyDescent="0.35"/>
  <cols>
    <col min="1" max="1" width="9.81640625" customWidth="1"/>
    <col min="2" max="2" width="45.26953125" customWidth="1"/>
    <col min="3" max="3" width="12.1796875" customWidth="1"/>
    <col min="4" max="6" width="40" customWidth="1"/>
  </cols>
  <sheetData>
    <row r="1" spans="1:5" x14ac:dyDescent="0.35">
      <c r="A1" t="s">
        <v>12</v>
      </c>
      <c r="B1" t="s">
        <v>13</v>
      </c>
      <c r="C1" t="s">
        <v>14</v>
      </c>
      <c r="D1" t="s">
        <v>15</v>
      </c>
      <c r="E1" t="s">
        <v>16</v>
      </c>
    </row>
    <row r="2" spans="1:5" x14ac:dyDescent="0.35">
      <c r="A2" t="s">
        <v>17</v>
      </c>
      <c r="B2" t="s">
        <v>18</v>
      </c>
    </row>
    <row r="3" spans="1:5" x14ac:dyDescent="0.35">
      <c r="A3" t="s">
        <v>17</v>
      </c>
      <c r="B3" t="s">
        <v>19</v>
      </c>
    </row>
    <row r="4" spans="1:5" x14ac:dyDescent="0.35">
      <c r="A4" t="s">
        <v>17</v>
      </c>
      <c r="B4" t="s">
        <v>20</v>
      </c>
    </row>
    <row r="5" spans="1:5" x14ac:dyDescent="0.35">
      <c r="A5" t="s">
        <v>17</v>
      </c>
      <c r="B5" t="s">
        <v>21</v>
      </c>
    </row>
    <row r="6" spans="1:5" x14ac:dyDescent="0.35">
      <c r="A6" t="s">
        <v>17</v>
      </c>
      <c r="B6" t="s">
        <v>22</v>
      </c>
    </row>
    <row r="7" spans="1:5" x14ac:dyDescent="0.35">
      <c r="A7" t="s">
        <v>23</v>
      </c>
      <c r="B7" t="s">
        <v>24</v>
      </c>
    </row>
    <row r="8" spans="1:5" x14ac:dyDescent="0.35">
      <c r="A8" t="s">
        <v>23</v>
      </c>
      <c r="B8" t="s">
        <v>25</v>
      </c>
    </row>
    <row r="9" spans="1:5" x14ac:dyDescent="0.35">
      <c r="A9" t="s">
        <v>23</v>
      </c>
      <c r="B9" t="s">
        <v>26</v>
      </c>
    </row>
    <row r="10" spans="1:5" x14ac:dyDescent="0.35">
      <c r="A10" t="s">
        <v>23</v>
      </c>
      <c r="B10" t="s">
        <v>27</v>
      </c>
    </row>
    <row r="11" spans="1:5" x14ac:dyDescent="0.35">
      <c r="A11" t="s">
        <v>23</v>
      </c>
      <c r="B11" t="s">
        <v>28</v>
      </c>
    </row>
    <row r="12" spans="1:5" x14ac:dyDescent="0.35">
      <c r="A12" t="s">
        <v>29</v>
      </c>
      <c r="B12" t="s">
        <v>30</v>
      </c>
    </row>
    <row r="13" spans="1:5" x14ac:dyDescent="0.35">
      <c r="A13" t="s">
        <v>29</v>
      </c>
      <c r="B13" t="s">
        <v>31</v>
      </c>
    </row>
    <row r="14" spans="1:5" x14ac:dyDescent="0.35">
      <c r="A14" t="s">
        <v>29</v>
      </c>
      <c r="B14" t="s">
        <v>32</v>
      </c>
    </row>
    <row r="15" spans="1:5" x14ac:dyDescent="0.35">
      <c r="A15" t="s">
        <v>29</v>
      </c>
      <c r="B15" t="s">
        <v>33</v>
      </c>
    </row>
    <row r="16" spans="1:5" x14ac:dyDescent="0.35">
      <c r="A16" t="s">
        <v>29</v>
      </c>
      <c r="B16" t="s">
        <v>34</v>
      </c>
    </row>
    <row r="17" spans="1:2" x14ac:dyDescent="0.35">
      <c r="A17" t="s">
        <v>35</v>
      </c>
      <c r="B17" t="s">
        <v>36</v>
      </c>
    </row>
    <row r="18" spans="1:2" x14ac:dyDescent="0.35">
      <c r="A18" t="s">
        <v>35</v>
      </c>
      <c r="B18" t="s">
        <v>37</v>
      </c>
    </row>
    <row r="19" spans="1:2" x14ac:dyDescent="0.35">
      <c r="A19" t="s">
        <v>35</v>
      </c>
      <c r="B19" t="s">
        <v>38</v>
      </c>
    </row>
    <row r="20" spans="1:2" x14ac:dyDescent="0.35">
      <c r="A20" t="s">
        <v>35</v>
      </c>
      <c r="B20" t="s">
        <v>39</v>
      </c>
    </row>
    <row r="21" spans="1:2" x14ac:dyDescent="0.35">
      <c r="A21" t="s">
        <v>35</v>
      </c>
      <c r="B21" t="s">
        <v>40</v>
      </c>
    </row>
    <row r="22" spans="1:2" x14ac:dyDescent="0.35">
      <c r="A22" t="s">
        <v>41</v>
      </c>
      <c r="B22" t="s">
        <v>42</v>
      </c>
    </row>
    <row r="23" spans="1:2" x14ac:dyDescent="0.35">
      <c r="A23" t="s">
        <v>41</v>
      </c>
      <c r="B23" t="s">
        <v>43</v>
      </c>
    </row>
    <row r="24" spans="1:2" x14ac:dyDescent="0.35">
      <c r="A24" t="s">
        <v>41</v>
      </c>
      <c r="B24" t="s">
        <v>44</v>
      </c>
    </row>
    <row r="25" spans="1:2" x14ac:dyDescent="0.35">
      <c r="A25" t="s">
        <v>41</v>
      </c>
      <c r="B25" t="s">
        <v>45</v>
      </c>
    </row>
    <row r="26" spans="1:2" x14ac:dyDescent="0.35">
      <c r="A26" t="s">
        <v>41</v>
      </c>
      <c r="B26" t="s">
        <v>46</v>
      </c>
    </row>
    <row r="27" spans="1:2" x14ac:dyDescent="0.35">
      <c r="A27" t="s">
        <v>47</v>
      </c>
      <c r="B27" t="s">
        <v>48</v>
      </c>
    </row>
    <row r="28" spans="1:2" x14ac:dyDescent="0.35">
      <c r="A28" t="s">
        <v>47</v>
      </c>
      <c r="B28" t="s">
        <v>49</v>
      </c>
    </row>
    <row r="29" spans="1:2" x14ac:dyDescent="0.35">
      <c r="A29" t="s">
        <v>47</v>
      </c>
      <c r="B29" t="s">
        <v>50</v>
      </c>
    </row>
    <row r="30" spans="1:2" x14ac:dyDescent="0.35">
      <c r="A30" t="s">
        <v>47</v>
      </c>
      <c r="B30" t="s">
        <v>51</v>
      </c>
    </row>
    <row r="31" spans="1:2" x14ac:dyDescent="0.35">
      <c r="A31" t="s">
        <v>47</v>
      </c>
      <c r="B31" t="s">
        <v>52</v>
      </c>
    </row>
    <row r="32" spans="1:2" x14ac:dyDescent="0.35">
      <c r="A32" t="s">
        <v>53</v>
      </c>
      <c r="B32" t="s">
        <v>54</v>
      </c>
    </row>
    <row r="33" spans="1:2" x14ac:dyDescent="0.35">
      <c r="A33" t="s">
        <v>53</v>
      </c>
      <c r="B33" t="s">
        <v>55</v>
      </c>
    </row>
    <row r="34" spans="1:2" x14ac:dyDescent="0.35">
      <c r="A34" t="s">
        <v>53</v>
      </c>
      <c r="B34" t="s">
        <v>56</v>
      </c>
    </row>
    <row r="35" spans="1:2" x14ac:dyDescent="0.35">
      <c r="A35" t="s">
        <v>53</v>
      </c>
      <c r="B35" t="s">
        <v>57</v>
      </c>
    </row>
    <row r="36" spans="1:2" x14ac:dyDescent="0.35">
      <c r="A36" t="s">
        <v>53</v>
      </c>
      <c r="B36" t="s">
        <v>58</v>
      </c>
    </row>
    <row r="37" spans="1:2" x14ac:dyDescent="0.35">
      <c r="A37" t="s">
        <v>59</v>
      </c>
      <c r="B37" t="s">
        <v>60</v>
      </c>
    </row>
    <row r="38" spans="1:2" x14ac:dyDescent="0.35">
      <c r="A38" t="s">
        <v>59</v>
      </c>
      <c r="B38" t="s">
        <v>61</v>
      </c>
    </row>
    <row r="39" spans="1:2" x14ac:dyDescent="0.35">
      <c r="A39" t="s">
        <v>59</v>
      </c>
      <c r="B39" t="s">
        <v>62</v>
      </c>
    </row>
    <row r="40" spans="1:2" x14ac:dyDescent="0.35">
      <c r="A40" t="s">
        <v>59</v>
      </c>
      <c r="B40" t="s">
        <v>63</v>
      </c>
    </row>
    <row r="41" spans="1:2" x14ac:dyDescent="0.35">
      <c r="A41" t="s">
        <v>59</v>
      </c>
      <c r="B41" t="s">
        <v>64</v>
      </c>
    </row>
    <row r="42" spans="1:2" x14ac:dyDescent="0.35">
      <c r="A42" t="s">
        <v>65</v>
      </c>
      <c r="B42" t="s">
        <v>66</v>
      </c>
    </row>
    <row r="43" spans="1:2" x14ac:dyDescent="0.35">
      <c r="A43" t="s">
        <v>65</v>
      </c>
      <c r="B43" t="s">
        <v>67</v>
      </c>
    </row>
    <row r="44" spans="1:2" x14ac:dyDescent="0.35">
      <c r="A44" t="s">
        <v>65</v>
      </c>
      <c r="B44" t="s">
        <v>68</v>
      </c>
    </row>
    <row r="45" spans="1:2" x14ac:dyDescent="0.35">
      <c r="A45" t="s">
        <v>65</v>
      </c>
      <c r="B45" t="s">
        <v>69</v>
      </c>
    </row>
    <row r="46" spans="1:2" x14ac:dyDescent="0.35">
      <c r="A46" t="s">
        <v>65</v>
      </c>
      <c r="B46" t="s">
        <v>70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"/>
  <sheetViews>
    <sheetView workbookViewId="0"/>
  </sheetViews>
  <sheetFormatPr defaultRowHeight="14.5" x14ac:dyDescent="0.35"/>
  <cols>
    <col min="1" max="1" width="10.36328125" customWidth="1"/>
    <col min="2" max="2" width="12.26953125" customWidth="1"/>
    <col min="3" max="6" width="40" customWidth="1"/>
  </cols>
  <sheetData>
    <row r="1" spans="1:3" x14ac:dyDescent="0.35">
      <c r="A1" t="s">
        <v>12</v>
      </c>
      <c r="B1" t="s">
        <v>71</v>
      </c>
      <c r="C1" t="s">
        <v>72</v>
      </c>
    </row>
    <row r="2" spans="1:3" x14ac:dyDescent="0.35">
      <c r="A2" t="s">
        <v>17</v>
      </c>
      <c r="B2" t="e">
        <f>AVERAGEIF(Assessment!A:A,"ISO 27001",Assessment!C:C)</f>
        <v>#DIV/0!</v>
      </c>
      <c r="C2" t="e">
        <f t="shared" ref="C2:C10" si="0">IF(B2&lt;2.5,"High Risk",IF(B2&lt;3.5,"Medium Risk","Low Risk"))</f>
        <v>#DIV/0!</v>
      </c>
    </row>
    <row r="3" spans="1:3" x14ac:dyDescent="0.35">
      <c r="A3" t="s">
        <v>23</v>
      </c>
      <c r="B3" t="e">
        <f>AVERAGEIF(Assessment!A:A,"ISO 22301",Assessment!C:C)</f>
        <v>#DIV/0!</v>
      </c>
      <c r="C3" t="e">
        <f t="shared" si="0"/>
        <v>#DIV/0!</v>
      </c>
    </row>
    <row r="4" spans="1:3" x14ac:dyDescent="0.35">
      <c r="A4" t="s">
        <v>29</v>
      </c>
      <c r="B4" t="e">
        <f>AVERAGEIF(Assessment!A:A,"ISO 14067",Assessment!C:C)</f>
        <v>#DIV/0!</v>
      </c>
      <c r="C4" t="e">
        <f t="shared" si="0"/>
        <v>#DIV/0!</v>
      </c>
    </row>
    <row r="5" spans="1:3" x14ac:dyDescent="0.35">
      <c r="A5" t="s">
        <v>35</v>
      </c>
      <c r="B5" t="e">
        <f>AVERAGEIF(Assessment!A:A,"ISO 56001",Assessment!C:C)</f>
        <v>#DIV/0!</v>
      </c>
      <c r="C5" t="e">
        <f t="shared" si="0"/>
        <v>#DIV/0!</v>
      </c>
    </row>
    <row r="6" spans="1:3" x14ac:dyDescent="0.35">
      <c r="A6" t="s">
        <v>41</v>
      </c>
      <c r="B6" t="e">
        <f>AVERAGEIF(Assessment!A:A,"ISO 37000",Assessment!C:C)</f>
        <v>#DIV/0!</v>
      </c>
      <c r="C6" t="e">
        <f t="shared" si="0"/>
        <v>#DIV/0!</v>
      </c>
    </row>
    <row r="7" spans="1:3" x14ac:dyDescent="0.35">
      <c r="A7" t="s">
        <v>47</v>
      </c>
      <c r="B7" t="e">
        <f>AVERAGEIF(Assessment!A:A,"ISO 37001",Assessment!C:C)</f>
        <v>#DIV/0!</v>
      </c>
      <c r="C7" t="e">
        <f t="shared" si="0"/>
        <v>#DIV/0!</v>
      </c>
    </row>
    <row r="8" spans="1:3" x14ac:dyDescent="0.35">
      <c r="A8" t="s">
        <v>53</v>
      </c>
      <c r="B8" t="e">
        <f>AVERAGEIF(Assessment!A:A,"ISO 28000",Assessment!C:C)</f>
        <v>#DIV/0!</v>
      </c>
      <c r="C8" t="e">
        <f t="shared" si="0"/>
        <v>#DIV/0!</v>
      </c>
    </row>
    <row r="9" spans="1:3" x14ac:dyDescent="0.35">
      <c r="A9" t="s">
        <v>59</v>
      </c>
      <c r="B9" t="e">
        <f>AVERAGEIF(Assessment!A:A,"ISO 27032",Assessment!C:C)</f>
        <v>#DIV/0!</v>
      </c>
      <c r="C9" t="e">
        <f t="shared" si="0"/>
        <v>#DIV/0!</v>
      </c>
    </row>
    <row r="10" spans="1:3" x14ac:dyDescent="0.35">
      <c r="A10" t="s">
        <v>65</v>
      </c>
      <c r="B10" t="e">
        <f>AVERAGEIF(Assessment!A:A,"ISO 21502",Assessment!C:C)</f>
        <v>#DIV/0!</v>
      </c>
      <c r="C10" t="e">
        <f t="shared" si="0"/>
        <v>#DIV/0!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6"/>
  <sheetViews>
    <sheetView workbookViewId="0">
      <selection activeCell="C12" sqref="C12"/>
    </sheetView>
  </sheetViews>
  <sheetFormatPr defaultRowHeight="14.5" x14ac:dyDescent="0.35"/>
  <cols>
    <col min="1" max="1" width="13.453125" customWidth="1"/>
    <col min="2" max="2" width="40" customWidth="1"/>
    <col min="3" max="3" width="8.6328125" customWidth="1"/>
    <col min="4" max="6" width="40" customWidth="1"/>
  </cols>
  <sheetData>
    <row r="1" spans="1:5" x14ac:dyDescent="0.35">
      <c r="A1" t="s">
        <v>12</v>
      </c>
      <c r="B1" t="s">
        <v>13</v>
      </c>
      <c r="C1" t="s">
        <v>73</v>
      </c>
      <c r="D1" t="s">
        <v>74</v>
      </c>
      <c r="E1" t="s">
        <v>75</v>
      </c>
    </row>
    <row r="2" spans="1:5" x14ac:dyDescent="0.35">
      <c r="A2" t="s">
        <v>17</v>
      </c>
      <c r="B2" t="s">
        <v>18</v>
      </c>
      <c r="C2">
        <f>VLOOKUP("Is information security risk assessment documented?",Assessment!B:C,2,FALSE)</f>
        <v>0</v>
      </c>
      <c r="D2" t="str">
        <f t="shared" ref="D2:D46" si="0">IF(C2&lt;3,"Improve controls, documentation, and training","Maintain control")</f>
        <v>Improve controls, documentation, and training</v>
      </c>
      <c r="E2" t="s">
        <v>76</v>
      </c>
    </row>
    <row r="3" spans="1:5" x14ac:dyDescent="0.35">
      <c r="A3" t="s">
        <v>17</v>
      </c>
      <c r="B3" t="s">
        <v>19</v>
      </c>
      <c r="C3">
        <f>VLOOKUP("Are access controls defined and reviewed?",Assessment!B:C,2,FALSE)</f>
        <v>0</v>
      </c>
      <c r="D3" t="str">
        <f t="shared" si="0"/>
        <v>Improve controls, documentation, and training</v>
      </c>
      <c r="E3" t="s">
        <v>76</v>
      </c>
    </row>
    <row r="4" spans="1:5" x14ac:dyDescent="0.35">
      <c r="A4" t="s">
        <v>17</v>
      </c>
      <c r="B4" t="s">
        <v>20</v>
      </c>
      <c r="C4">
        <f>VLOOKUP("Is incident response tested regularly?",Assessment!B:C,2,FALSE)</f>
        <v>0</v>
      </c>
      <c r="D4" t="str">
        <f t="shared" si="0"/>
        <v>Improve controls, documentation, and training</v>
      </c>
      <c r="E4" t="s">
        <v>76</v>
      </c>
    </row>
    <row r="5" spans="1:5" x14ac:dyDescent="0.35">
      <c r="A5" t="s">
        <v>17</v>
      </c>
      <c r="B5" t="s">
        <v>21</v>
      </c>
      <c r="C5">
        <f>VLOOKUP("Are assets classified and inventoried?",Assessment!B:C,2,FALSE)</f>
        <v>0</v>
      </c>
      <c r="D5" t="str">
        <f t="shared" si="0"/>
        <v>Improve controls, documentation, and training</v>
      </c>
      <c r="E5" t="s">
        <v>76</v>
      </c>
    </row>
    <row r="6" spans="1:5" x14ac:dyDescent="0.35">
      <c r="A6" t="s">
        <v>17</v>
      </c>
      <c r="B6" t="s">
        <v>22</v>
      </c>
      <c r="C6">
        <f>VLOOKUP("Is ISMS leadership active and effective?",Assessment!B:C,2,FALSE)</f>
        <v>0</v>
      </c>
      <c r="D6" t="str">
        <f t="shared" si="0"/>
        <v>Improve controls, documentation, and training</v>
      </c>
      <c r="E6" t="s">
        <v>76</v>
      </c>
    </row>
    <row r="7" spans="1:5" x14ac:dyDescent="0.35">
      <c r="A7" t="s">
        <v>23</v>
      </c>
      <c r="B7" t="s">
        <v>24</v>
      </c>
      <c r="C7">
        <f>VLOOKUP("Is there a documented business continuity plan?",Assessment!B:C,2,FALSE)</f>
        <v>0</v>
      </c>
      <c r="D7" t="str">
        <f t="shared" si="0"/>
        <v>Improve controls, documentation, and training</v>
      </c>
      <c r="E7" t="s">
        <v>77</v>
      </c>
    </row>
    <row r="8" spans="1:5" x14ac:dyDescent="0.35">
      <c r="A8" t="s">
        <v>23</v>
      </c>
      <c r="B8" t="s">
        <v>25</v>
      </c>
      <c r="C8">
        <f>VLOOKUP("Have critical processes been identified?",Assessment!B:C,2,FALSE)</f>
        <v>0</v>
      </c>
      <c r="D8" t="str">
        <f t="shared" si="0"/>
        <v>Improve controls, documentation, and training</v>
      </c>
      <c r="E8" t="s">
        <v>77</v>
      </c>
    </row>
    <row r="9" spans="1:5" x14ac:dyDescent="0.35">
      <c r="A9" t="s">
        <v>23</v>
      </c>
      <c r="B9" t="s">
        <v>26</v>
      </c>
      <c r="C9">
        <f>VLOOKUP("Are BC plans tested regularly?",Assessment!B:C,2,FALSE)</f>
        <v>0</v>
      </c>
      <c r="D9" t="str">
        <f t="shared" si="0"/>
        <v>Improve controls, documentation, and training</v>
      </c>
      <c r="E9" t="s">
        <v>77</v>
      </c>
    </row>
    <row r="10" spans="1:5" x14ac:dyDescent="0.35">
      <c r="A10" t="s">
        <v>23</v>
      </c>
      <c r="B10" t="s">
        <v>27</v>
      </c>
      <c r="C10">
        <f>VLOOKUP("Are suppliers assessed for continuity risk?",Assessment!B:C,2,FALSE)</f>
        <v>0</v>
      </c>
      <c r="D10" t="str">
        <f t="shared" si="0"/>
        <v>Improve controls, documentation, and training</v>
      </c>
      <c r="E10" t="s">
        <v>77</v>
      </c>
    </row>
    <row r="11" spans="1:5" x14ac:dyDescent="0.35">
      <c r="A11" t="s">
        <v>23</v>
      </c>
      <c r="B11" t="s">
        <v>28</v>
      </c>
      <c r="C11">
        <f>VLOOKUP("Is crisis communication practiced?",Assessment!B:C,2,FALSE)</f>
        <v>0</v>
      </c>
      <c r="D11" t="str">
        <f t="shared" si="0"/>
        <v>Improve controls, documentation, and training</v>
      </c>
      <c r="E11" t="s">
        <v>77</v>
      </c>
    </row>
    <row r="12" spans="1:5" x14ac:dyDescent="0.35">
      <c r="A12" t="s">
        <v>29</v>
      </c>
      <c r="B12" t="s">
        <v>30</v>
      </c>
      <c r="C12">
        <f>VLOOKUP("Are product GHG boundaries defined?",Assessment!B:C,2,FALSE)</f>
        <v>0</v>
      </c>
      <c r="D12" t="str">
        <f t="shared" si="0"/>
        <v>Improve controls, documentation, and training</v>
      </c>
      <c r="E12" t="s">
        <v>78</v>
      </c>
    </row>
    <row r="13" spans="1:5" x14ac:dyDescent="0.35">
      <c r="A13" t="s">
        <v>29</v>
      </c>
      <c r="B13" t="s">
        <v>31</v>
      </c>
      <c r="C13">
        <f>VLOOKUP("Is GHG data gathered with reliable methods?",Assessment!B:C,2,FALSE)</f>
        <v>0</v>
      </c>
      <c r="D13" t="str">
        <f t="shared" si="0"/>
        <v>Improve controls, documentation, and training</v>
      </c>
      <c r="E13" t="s">
        <v>78</v>
      </c>
    </row>
    <row r="14" spans="1:5" x14ac:dyDescent="0.35">
      <c r="A14" t="s">
        <v>29</v>
      </c>
      <c r="B14" t="s">
        <v>32</v>
      </c>
      <c r="C14">
        <f>VLOOKUP("Are emission hotspots identified?",Assessment!B:C,2,FALSE)</f>
        <v>0</v>
      </c>
      <c r="D14" t="str">
        <f t="shared" si="0"/>
        <v>Improve controls, documentation, and training</v>
      </c>
      <c r="E14" t="s">
        <v>78</v>
      </c>
    </row>
    <row r="15" spans="1:5" x14ac:dyDescent="0.35">
      <c r="A15" t="s">
        <v>29</v>
      </c>
      <c r="B15" t="s">
        <v>33</v>
      </c>
      <c r="C15">
        <f>VLOOKUP("Is reduction planning documented?",Assessment!B:C,2,FALSE)</f>
        <v>0</v>
      </c>
      <c r="D15" t="str">
        <f t="shared" si="0"/>
        <v>Improve controls, documentation, and training</v>
      </c>
      <c r="E15" t="s">
        <v>78</v>
      </c>
    </row>
    <row r="16" spans="1:5" x14ac:dyDescent="0.35">
      <c r="A16" t="s">
        <v>29</v>
      </c>
      <c r="B16" t="s">
        <v>34</v>
      </c>
      <c r="C16">
        <f>VLOOKUP("Are carbon claims independently verified?",Assessment!B:C,2,FALSE)</f>
        <v>0</v>
      </c>
      <c r="D16" t="str">
        <f t="shared" si="0"/>
        <v>Improve controls, documentation, and training</v>
      </c>
      <c r="E16" t="s">
        <v>78</v>
      </c>
    </row>
    <row r="17" spans="1:5" x14ac:dyDescent="0.35">
      <c r="A17" t="s">
        <v>35</v>
      </c>
      <c r="B17" t="s">
        <v>36</v>
      </c>
      <c r="C17">
        <f>VLOOKUP("Is there an innovation strategy?",Assessment!B:C,2,FALSE)</f>
        <v>0</v>
      </c>
      <c r="D17" t="str">
        <f t="shared" si="0"/>
        <v>Improve controls, documentation, and training</v>
      </c>
      <c r="E17" t="s">
        <v>79</v>
      </c>
    </row>
    <row r="18" spans="1:5" x14ac:dyDescent="0.35">
      <c r="A18" t="s">
        <v>35</v>
      </c>
      <c r="B18" t="s">
        <v>37</v>
      </c>
      <c r="C18">
        <f>VLOOKUP("Are innovation resources allocated?",Assessment!B:C,2,FALSE)</f>
        <v>0</v>
      </c>
      <c r="D18" t="str">
        <f t="shared" si="0"/>
        <v>Improve controls, documentation, and training</v>
      </c>
      <c r="E18" t="s">
        <v>79</v>
      </c>
    </row>
    <row r="19" spans="1:5" x14ac:dyDescent="0.35">
      <c r="A19" t="s">
        <v>35</v>
      </c>
      <c r="B19" t="s">
        <v>38</v>
      </c>
      <c r="C19">
        <f>VLOOKUP("Is innovation pipeline structured?",Assessment!B:C,2,FALSE)</f>
        <v>0</v>
      </c>
      <c r="D19" t="str">
        <f t="shared" si="0"/>
        <v>Improve controls, documentation, and training</v>
      </c>
      <c r="E19" t="s">
        <v>79</v>
      </c>
    </row>
    <row r="20" spans="1:5" x14ac:dyDescent="0.35">
      <c r="A20" t="s">
        <v>35</v>
      </c>
      <c r="B20" t="s">
        <v>39</v>
      </c>
      <c r="C20">
        <f>VLOOKUP("Are innovation risks assessed?",Assessment!B:C,2,FALSE)</f>
        <v>0</v>
      </c>
      <c r="D20" t="str">
        <f t="shared" si="0"/>
        <v>Improve controls, documentation, and training</v>
      </c>
      <c r="E20" t="s">
        <v>79</v>
      </c>
    </row>
    <row r="21" spans="1:5" x14ac:dyDescent="0.35">
      <c r="A21" t="s">
        <v>35</v>
      </c>
      <c r="B21" t="s">
        <v>40</v>
      </c>
      <c r="C21">
        <f>VLOOKUP("Are innovation results measured?",Assessment!B:C,2,FALSE)</f>
        <v>0</v>
      </c>
      <c r="D21" t="str">
        <f t="shared" si="0"/>
        <v>Improve controls, documentation, and training</v>
      </c>
      <c r="E21" t="s">
        <v>79</v>
      </c>
    </row>
    <row r="22" spans="1:5" x14ac:dyDescent="0.35">
      <c r="A22" t="s">
        <v>41</v>
      </c>
      <c r="B22" t="s">
        <v>42</v>
      </c>
      <c r="C22">
        <f>VLOOKUP("Is purpose clearly defined and communicated?",Assessment!B:C,2,FALSE)</f>
        <v>0</v>
      </c>
      <c r="D22" t="str">
        <f t="shared" si="0"/>
        <v>Improve controls, documentation, and training</v>
      </c>
      <c r="E22" t="s">
        <v>80</v>
      </c>
    </row>
    <row r="23" spans="1:5" x14ac:dyDescent="0.35">
      <c r="A23" t="s">
        <v>41</v>
      </c>
      <c r="B23" t="s">
        <v>43</v>
      </c>
      <c r="C23">
        <f>VLOOKUP("Is governance embedded into strategy?",Assessment!B:C,2,FALSE)</f>
        <v>0</v>
      </c>
      <c r="D23" t="str">
        <f t="shared" si="0"/>
        <v>Improve controls, documentation, and training</v>
      </c>
      <c r="E23" t="s">
        <v>80</v>
      </c>
    </row>
    <row r="24" spans="1:5" x14ac:dyDescent="0.35">
      <c r="A24" t="s">
        <v>41</v>
      </c>
      <c r="B24" t="s">
        <v>44</v>
      </c>
      <c r="C24">
        <f>VLOOKUP("Are accountability roles defined?",Assessment!B:C,2,FALSE)</f>
        <v>0</v>
      </c>
      <c r="D24" t="str">
        <f t="shared" si="0"/>
        <v>Improve controls, documentation, and training</v>
      </c>
      <c r="E24" t="s">
        <v>80</v>
      </c>
    </row>
    <row r="25" spans="1:5" x14ac:dyDescent="0.35">
      <c r="A25" t="s">
        <v>41</v>
      </c>
      <c r="B25" t="s">
        <v>45</v>
      </c>
      <c r="C25">
        <f>VLOOKUP("Are stakeholders engaged effectively?",Assessment!B:C,2,FALSE)</f>
        <v>0</v>
      </c>
      <c r="D25" t="str">
        <f t="shared" si="0"/>
        <v>Improve controls, documentation, and training</v>
      </c>
      <c r="E25" t="s">
        <v>80</v>
      </c>
    </row>
    <row r="26" spans="1:5" x14ac:dyDescent="0.35">
      <c r="A26" t="s">
        <v>41</v>
      </c>
      <c r="B26" t="s">
        <v>46</v>
      </c>
      <c r="C26">
        <f>VLOOKUP("Is governance performance monitored?",Assessment!B:C,2,FALSE)</f>
        <v>0</v>
      </c>
      <c r="D26" t="str">
        <f t="shared" si="0"/>
        <v>Improve controls, documentation, and training</v>
      </c>
      <c r="E26" t="s">
        <v>80</v>
      </c>
    </row>
    <row r="27" spans="1:5" x14ac:dyDescent="0.35">
      <c r="A27" t="s">
        <v>47</v>
      </c>
      <c r="B27" t="s">
        <v>48</v>
      </c>
      <c r="C27">
        <f>VLOOKUP("Is anti‑bribery policy documented?",Assessment!B:C,2,FALSE)</f>
        <v>0</v>
      </c>
      <c r="D27" t="str">
        <f t="shared" si="0"/>
        <v>Improve controls, documentation, and training</v>
      </c>
      <c r="E27" t="s">
        <v>81</v>
      </c>
    </row>
    <row r="28" spans="1:5" x14ac:dyDescent="0.35">
      <c r="A28" t="s">
        <v>47</v>
      </c>
      <c r="B28" t="s">
        <v>49</v>
      </c>
      <c r="C28">
        <f>VLOOKUP("Are bribery risks assessed?",Assessment!B:C,2,FALSE)</f>
        <v>0</v>
      </c>
      <c r="D28" t="str">
        <f t="shared" si="0"/>
        <v>Improve controls, documentation, and training</v>
      </c>
      <c r="E28" t="s">
        <v>81</v>
      </c>
    </row>
    <row r="29" spans="1:5" x14ac:dyDescent="0.35">
      <c r="A29" t="s">
        <v>47</v>
      </c>
      <c r="B29" t="s">
        <v>50</v>
      </c>
      <c r="C29">
        <f>VLOOKUP("Is due diligence applied to partners?",Assessment!B:C,2,FALSE)</f>
        <v>0</v>
      </c>
      <c r="D29" t="str">
        <f t="shared" si="0"/>
        <v>Improve controls, documentation, and training</v>
      </c>
      <c r="E29" t="s">
        <v>81</v>
      </c>
    </row>
    <row r="30" spans="1:5" x14ac:dyDescent="0.35">
      <c r="A30" t="s">
        <v>47</v>
      </c>
      <c r="B30" t="s">
        <v>51</v>
      </c>
      <c r="C30">
        <f>VLOOKUP("Are incident channels secure?",Assessment!B:C,2,FALSE)</f>
        <v>0</v>
      </c>
      <c r="D30" t="str">
        <f t="shared" si="0"/>
        <v>Improve controls, documentation, and training</v>
      </c>
      <c r="E30" t="s">
        <v>81</v>
      </c>
    </row>
    <row r="31" spans="1:5" x14ac:dyDescent="0.35">
      <c r="A31" t="s">
        <v>47</v>
      </c>
      <c r="B31" t="s">
        <v>52</v>
      </c>
      <c r="C31">
        <f>VLOOKUP("Is anti‑bribery training regular?",Assessment!B:C,2,FALSE)</f>
        <v>0</v>
      </c>
      <c r="D31" t="str">
        <f t="shared" si="0"/>
        <v>Improve controls, documentation, and training</v>
      </c>
      <c r="E31" t="s">
        <v>81</v>
      </c>
    </row>
    <row r="32" spans="1:5" x14ac:dyDescent="0.35">
      <c r="A32" t="s">
        <v>53</v>
      </c>
      <c r="B32" t="s">
        <v>54</v>
      </c>
      <c r="C32">
        <f>VLOOKUP("Are supply chain security risks assessed?",Assessment!B:C,2,FALSE)</f>
        <v>0</v>
      </c>
      <c r="D32" t="str">
        <f t="shared" si="0"/>
        <v>Improve controls, documentation, and training</v>
      </c>
      <c r="E32" t="s">
        <v>82</v>
      </c>
    </row>
    <row r="33" spans="1:5" x14ac:dyDescent="0.35">
      <c r="A33" t="s">
        <v>53</v>
      </c>
      <c r="B33" t="s">
        <v>55</v>
      </c>
      <c r="C33">
        <f>VLOOKUP("Is cargo monitored?",Assessment!B:C,2,FALSE)</f>
        <v>0</v>
      </c>
      <c r="D33" t="str">
        <f t="shared" si="0"/>
        <v>Improve controls, documentation, and training</v>
      </c>
      <c r="E33" t="s">
        <v>82</v>
      </c>
    </row>
    <row r="34" spans="1:5" x14ac:dyDescent="0.35">
      <c r="A34" t="s">
        <v>53</v>
      </c>
      <c r="B34" t="s">
        <v>56</v>
      </c>
      <c r="C34">
        <f>VLOOKUP("Are supplier security controls defined?",Assessment!B:C,2,FALSE)</f>
        <v>0</v>
      </c>
      <c r="D34" t="str">
        <f t="shared" si="0"/>
        <v>Improve controls, documentation, and training</v>
      </c>
      <c r="E34" t="s">
        <v>82</v>
      </c>
    </row>
    <row r="35" spans="1:5" x14ac:dyDescent="0.35">
      <c r="A35" t="s">
        <v>53</v>
      </c>
      <c r="B35" t="s">
        <v>57</v>
      </c>
      <c r="C35">
        <f>VLOOKUP("Are emergency procedures documented?",Assessment!B:C,2,FALSE)</f>
        <v>0</v>
      </c>
      <c r="D35" t="str">
        <f t="shared" si="0"/>
        <v>Improve controls, documentation, and training</v>
      </c>
      <c r="E35" t="s">
        <v>82</v>
      </c>
    </row>
    <row r="36" spans="1:5" x14ac:dyDescent="0.35">
      <c r="A36" t="s">
        <v>53</v>
      </c>
      <c r="B36" t="s">
        <v>58</v>
      </c>
      <c r="C36">
        <f>VLOOKUP("Are security incidents reviewed?",Assessment!B:C,2,FALSE)</f>
        <v>0</v>
      </c>
      <c r="D36" t="str">
        <f t="shared" si="0"/>
        <v>Improve controls, documentation, and training</v>
      </c>
      <c r="E36" t="s">
        <v>82</v>
      </c>
    </row>
    <row r="37" spans="1:5" x14ac:dyDescent="0.35">
      <c r="A37" t="s">
        <v>59</v>
      </c>
      <c r="B37" t="s">
        <v>60</v>
      </c>
      <c r="C37">
        <f>VLOOKUP("Is cyber‑threat intelligence gathered?",Assessment!B:C,2,FALSE)</f>
        <v>0</v>
      </c>
      <c r="D37" t="str">
        <f t="shared" si="0"/>
        <v>Improve controls, documentation, and training</v>
      </c>
      <c r="E37" t="s">
        <v>83</v>
      </c>
    </row>
    <row r="38" spans="1:5" x14ac:dyDescent="0.35">
      <c r="A38" t="s">
        <v>59</v>
      </c>
      <c r="B38" t="s">
        <v>61</v>
      </c>
      <c r="C38">
        <f>VLOOKUP("Are online platforms protected?",Assessment!B:C,2,FALSE)</f>
        <v>0</v>
      </c>
      <c r="D38" t="str">
        <f t="shared" si="0"/>
        <v>Improve controls, documentation, and training</v>
      </c>
      <c r="E38" t="s">
        <v>83</v>
      </c>
    </row>
    <row r="39" spans="1:5" x14ac:dyDescent="0.35">
      <c r="A39" t="s">
        <v>59</v>
      </c>
      <c r="B39" t="s">
        <v>62</v>
      </c>
      <c r="C39">
        <f>VLOOKUP("Is cyber‑awareness training provided?",Assessment!B:C,2,FALSE)</f>
        <v>0</v>
      </c>
      <c r="D39" t="str">
        <f t="shared" si="0"/>
        <v>Improve controls, documentation, and training</v>
      </c>
      <c r="E39" t="s">
        <v>83</v>
      </c>
    </row>
    <row r="40" spans="1:5" x14ac:dyDescent="0.35">
      <c r="A40" t="s">
        <v>59</v>
      </c>
      <c r="B40" t="s">
        <v>63</v>
      </c>
      <c r="C40">
        <f>VLOOKUP("Are third‑party cyber risks monitored?",Assessment!B:C,2,FALSE)</f>
        <v>0</v>
      </c>
      <c r="D40" t="str">
        <f t="shared" si="0"/>
        <v>Improve controls, documentation, and training</v>
      </c>
      <c r="E40" t="s">
        <v>83</v>
      </c>
    </row>
    <row r="41" spans="1:5" x14ac:dyDescent="0.35">
      <c r="A41" t="s">
        <v>59</v>
      </c>
      <c r="B41" t="s">
        <v>64</v>
      </c>
      <c r="C41">
        <f>VLOOKUP("Is cyber incident response defined?",Assessment!B:C,2,FALSE)</f>
        <v>0</v>
      </c>
      <c r="D41" t="str">
        <f t="shared" si="0"/>
        <v>Improve controls, documentation, and training</v>
      </c>
      <c r="E41" t="s">
        <v>83</v>
      </c>
    </row>
    <row r="42" spans="1:5" x14ac:dyDescent="0.35">
      <c r="A42" t="s">
        <v>65</v>
      </c>
      <c r="B42" t="s">
        <v>66</v>
      </c>
      <c r="C42">
        <f>VLOOKUP("Are project objectives clearly defined?",Assessment!B:C,2,FALSE)</f>
        <v>0</v>
      </c>
      <c r="D42" t="str">
        <f t="shared" si="0"/>
        <v>Improve controls, documentation, and training</v>
      </c>
      <c r="E42" t="s">
        <v>84</v>
      </c>
    </row>
    <row r="43" spans="1:5" x14ac:dyDescent="0.35">
      <c r="A43" t="s">
        <v>65</v>
      </c>
      <c r="B43" t="s">
        <v>67</v>
      </c>
      <c r="C43">
        <f>VLOOKUP("Are project governance roles documented?",Assessment!B:C,2,FALSE)</f>
        <v>0</v>
      </c>
      <c r="D43" t="str">
        <f t="shared" si="0"/>
        <v>Improve controls, documentation, and training</v>
      </c>
      <c r="E43" t="s">
        <v>84</v>
      </c>
    </row>
    <row r="44" spans="1:5" x14ac:dyDescent="0.35">
      <c r="A44" t="s">
        <v>65</v>
      </c>
      <c r="B44" t="s">
        <v>68</v>
      </c>
      <c r="C44">
        <f>VLOOKUP("Are risks monitored continuously?",Assessment!B:C,2,FALSE)</f>
        <v>0</v>
      </c>
      <c r="D44" t="str">
        <f t="shared" si="0"/>
        <v>Improve controls, documentation, and training</v>
      </c>
      <c r="E44" t="s">
        <v>84</v>
      </c>
    </row>
    <row r="45" spans="1:5" x14ac:dyDescent="0.35">
      <c r="A45" t="s">
        <v>65</v>
      </c>
      <c r="B45" t="s">
        <v>69</v>
      </c>
      <c r="C45">
        <f>VLOOKUP("Is project performance measured?",Assessment!B:C,2,FALSE)</f>
        <v>0</v>
      </c>
      <c r="D45" t="str">
        <f t="shared" si="0"/>
        <v>Improve controls, documentation, and training</v>
      </c>
      <c r="E45" t="s">
        <v>84</v>
      </c>
    </row>
    <row r="46" spans="1:5" x14ac:dyDescent="0.35">
      <c r="A46" t="s">
        <v>65</v>
      </c>
      <c r="B46" t="s">
        <v>70</v>
      </c>
      <c r="C46">
        <f>VLOOKUP("Are lessons learned reused?",Assessment!B:C,2,FALSE)</f>
        <v>0</v>
      </c>
      <c r="D46" t="str">
        <f t="shared" si="0"/>
        <v>Improve controls, documentation, and training</v>
      </c>
      <c r="E46" t="s">
        <v>84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Assessment</vt:lpstr>
      <vt:lpstr>Dashboard</vt:lpstr>
      <vt:lpstr>Corrective 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Cognicert</dc:creator>
  <cp:lastModifiedBy>cognicert@gmail.com</cp:lastModifiedBy>
  <dcterms:created xsi:type="dcterms:W3CDTF">2025-12-06T07:25:54Z</dcterms:created>
  <dcterms:modified xsi:type="dcterms:W3CDTF">2025-12-06T08:09:03Z</dcterms:modified>
</cp:coreProperties>
</file>